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rkbook" sheetId="1" state="visible" r:id="rId1"/>
  </sheets>
  <definedNames>
    <definedName name="_xlnm.Print_Titles" localSheetId="0">'Workbook'!$1:$20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000%"/>
  </numFmts>
  <fonts count="10">
    <font>
      <name val="Calibri"/>
      <family val="2"/>
      <color theme="1"/>
      <sz val="11"/>
      <scheme val="minor"/>
    </font>
    <font>
      <name val="Fraunces"/>
      <b val="1"/>
      <color rgb="002F5D4E"/>
      <sz val="14"/>
    </font>
    <font>
      <name val="Inter"/>
      <i val="1"/>
      <color rgb="00565A55"/>
      <sz val="8"/>
    </font>
    <font>
      <name val="IBM Plex Mono"/>
      <b val="1"/>
      <color rgb="00FFFFFF"/>
      <sz val="9"/>
    </font>
    <font>
      <name val="Inter"/>
      <color rgb="001B1F1D"/>
      <sz val="10"/>
    </font>
    <font>
      <name val="IBM Plex Mono"/>
      <b val="1"/>
      <color rgb="001B1F1D"/>
      <sz val="11"/>
    </font>
    <font>
      <name val="IBM Plex Mono"/>
      <b val="1"/>
      <color rgb="002F5D4E"/>
      <sz val="11"/>
    </font>
    <font>
      <name val="IBM Plex Mono"/>
      <color rgb="001B1F1D"/>
      <sz val="9"/>
    </font>
    <font>
      <name val="IBM Plex Mono"/>
      <color rgb="00565A55"/>
      <sz val="9"/>
    </font>
    <font>
      <name val="IBM Plex Mono"/>
      <b val="1"/>
      <color rgb="00A85A24"/>
      <sz val="9"/>
    </font>
  </fonts>
  <fills count="5">
    <fill>
      <patternFill/>
    </fill>
    <fill>
      <patternFill patternType="gray125"/>
    </fill>
    <fill>
      <patternFill patternType="solid">
        <fgColor rgb="002F5D4E"/>
        <bgColor rgb="002F5D4E"/>
      </patternFill>
    </fill>
    <fill>
      <patternFill patternType="solid">
        <fgColor rgb="00FFFDE7"/>
        <bgColor rgb="00FFFDE7"/>
      </patternFill>
    </fill>
    <fill>
      <patternFill patternType="solid">
        <fgColor rgb="00FAF8F3"/>
        <bgColor rgb="00FAF8F3"/>
      </patternFill>
    </fill>
  </fills>
  <borders count="2">
    <border>
      <left/>
      <right/>
      <top/>
      <bottom/>
      <diagonal/>
    </border>
    <border>
      <left style="thin">
        <color rgb="00DBD5C4"/>
      </left>
      <right style="thin">
        <color rgb="00DBD5C4"/>
      </right>
      <top style="thin">
        <color rgb="00DBD5C4"/>
      </top>
      <bottom style="thin">
        <color rgb="00DBD5C4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4" fontId="5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/>
    </xf>
    <xf numFmtId="10" fontId="5" fillId="3" borderId="1" applyAlignment="1" pivotButton="0" quotePrefix="0" xfId="0">
      <alignment horizontal="right" vertical="center"/>
    </xf>
    <xf numFmtId="1" fontId="5" fillId="3" borderId="1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/>
    </xf>
    <xf numFmtId="0" fontId="2" fillId="0" borderId="0" pivotButton="0" quotePrefix="0" xfId="0"/>
    <xf numFmtId="0" fontId="2" fillId="0" borderId="0" applyAlignment="1" pivotButton="0" quotePrefix="0" xfId="0">
      <alignment horizontal="right"/>
    </xf>
    <xf numFmtId="164" fontId="6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right"/>
    </xf>
    <xf numFmtId="164" fontId="8" fillId="0" borderId="1" applyAlignment="1" pivotButton="0" quotePrefix="0" xfId="0">
      <alignment horizontal="right"/>
    </xf>
    <xf numFmtId="164" fontId="9" fillId="0" borderId="1" applyAlignment="1" pivotButton="0" quotePrefix="0" xfId="0">
      <alignment horizontal="right"/>
    </xf>
    <xf numFmtId="0" fontId="7" fillId="4" borderId="1" applyAlignment="1" pivotButton="0" quotePrefix="0" xfId="0">
      <alignment horizontal="center"/>
    </xf>
    <xf numFmtId="164" fontId="7" fillId="4" borderId="1" applyAlignment="1" pivotButton="0" quotePrefix="0" xfId="0">
      <alignment horizontal="right"/>
    </xf>
    <xf numFmtId="164" fontId="8" fillId="4" borderId="1" applyAlignment="1" pivotButton="0" quotePrefix="0" xfId="0">
      <alignment horizontal="right"/>
    </xf>
    <xf numFmtId="164" fontId="9" fillId="4" borderId="1" applyAlignment="1" pivotButton="0" quotePrefix="0" xfId="0">
      <alignment horizontal="right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5"/>
  <sheetViews>
    <sheetView workbookViewId="0">
      <pane ySplit="20" topLeftCell="A21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20" customWidth="1" min="6" max="6"/>
  </cols>
  <sheetData>
    <row r="1" ht="22" customHeight="1">
      <c r="A1" s="1" t="inlineStr">
        <is>
          <t>Compound Interest Workbook — Compound Lane</t>
        </is>
      </c>
    </row>
    <row r="2" ht="14" customHeight="1">
      <c r="A2" s="2" t="inlineStr">
        <is>
          <t>Same verified math as compoundlane.com/compound-interest · Every formula shown · Hypothetical, constant return — real markets vary</t>
        </is>
      </c>
    </row>
    <row r="4" ht="18" customHeight="1">
      <c r="A4" s="3" t="inlineStr">
        <is>
          <t>INPUTS — edit the yellow cells</t>
        </is>
      </c>
    </row>
    <row r="5">
      <c r="A5" s="4" t="inlineStr">
        <is>
          <t>Starting balance (P)</t>
        </is>
      </c>
      <c r="B5" s="5" t="n">
        <v>1000</v>
      </c>
      <c r="C5" s="6" t="inlineStr">
        <is>
          <t>e.g. 1000</t>
        </is>
      </c>
    </row>
    <row r="6">
      <c r="A6" s="4" t="inlineStr">
        <is>
          <t>Monthly contribution (PMT)</t>
        </is>
      </c>
      <c r="B6" s="5" t="n">
        <v>100</v>
      </c>
      <c r="C6" s="6" t="inlineStr">
        <is>
          <t>e.g. 100</t>
        </is>
      </c>
    </row>
    <row r="7">
      <c r="A7" s="4" t="inlineStr">
        <is>
          <t>Annual return (r)</t>
        </is>
      </c>
      <c r="B7" s="7" t="n">
        <v>0.07000000000000001</v>
      </c>
      <c r="C7" s="6" t="inlineStr">
        <is>
          <t>e.g. 7%</t>
        </is>
      </c>
    </row>
    <row r="8">
      <c r="A8" s="4" t="inlineStr">
        <is>
          <t>Years (y)</t>
        </is>
      </c>
      <c r="B8" s="8" t="n">
        <v>30</v>
      </c>
      <c r="C8" s="6" t="inlineStr">
        <is>
          <t>1–60</t>
        </is>
      </c>
    </row>
    <row r="9">
      <c r="A9" s="4" t="inlineStr">
        <is>
          <t>Expense drag for fee column (fee)</t>
        </is>
      </c>
      <c r="B9" s="7" t="n">
        <v>0.01</v>
      </c>
      <c r="C9" s="6" t="inlineStr">
        <is>
          <t>1% = 0.01</t>
        </is>
      </c>
    </row>
    <row r="10">
      <c r="A10" s="2" t="inlineStr">
        <is>
          <t>Monthly rate i = (r − fee)/12</t>
        </is>
      </c>
      <c r="B10" s="9">
        <f>(B7-B9)/12</f>
        <v/>
      </c>
    </row>
    <row r="11">
      <c r="A11" s="10" t="inlineStr">
        <is>
          <t>Months n = y × 12</t>
        </is>
      </c>
      <c r="B11" s="11">
        <f>B8*12</f>
        <v/>
      </c>
    </row>
    <row r="13" ht="18" customHeight="1">
      <c r="A13" s="3" t="inlineStr">
        <is>
          <t>OUTPUTS — live formulas</t>
        </is>
      </c>
    </row>
    <row r="14">
      <c r="A14" s="4" t="inlineStr">
        <is>
          <t>Future value (FV)</t>
        </is>
      </c>
      <c r="B14" s="12">
        <f>IF((B7/12)=0,B5+B6*B11,B5*POWER(1+B7/12,B11)+B6*((POWER(1+B7/12,B11)-1)/(B7/12)))</f>
        <v/>
      </c>
      <c r="C14" s="6" t="inlineStr">
        <is>
          <t>at r (no extra drag)</t>
        </is>
      </c>
    </row>
    <row r="15">
      <c r="A15" s="4" t="inlineStr">
        <is>
          <t>Total contributions</t>
        </is>
      </c>
      <c r="B15" s="12">
        <f>B5+B6*B11</f>
        <v/>
      </c>
      <c r="C15" s="13" t="n"/>
    </row>
    <row r="16">
      <c r="A16" s="4" t="inlineStr">
        <is>
          <t>Total growth (FV − contributions)</t>
        </is>
      </c>
      <c r="B16" s="12">
        <f>B14-B15</f>
        <v/>
      </c>
      <c r="C16" s="13" t="n"/>
    </row>
    <row r="17">
      <c r="A17" s="4" t="inlineStr">
        <is>
          <t>Future value at 1% drag</t>
        </is>
      </c>
      <c r="B17" s="12">
        <f>IF(B10=0,B5+B6*B11,B5*POWER(1+B10,B11)+B6*((POWER(1+B10,B11)-1)/B10))</f>
        <v/>
      </c>
      <c r="C17" s="6" t="inlineStr">
        <is>
          <t>at r − 1% drag</t>
        </is>
      </c>
    </row>
    <row r="18">
      <c r="A18" s="4" t="inlineStr">
        <is>
          <t>Fee drag cost (FV − FV at 1%)</t>
        </is>
      </c>
      <c r="B18" s="12">
        <f>B14-B17</f>
        <v/>
      </c>
      <c r="C18" s="6" t="inlineStr">
        <is>
          <t>what 1% costs this plan</t>
        </is>
      </c>
    </row>
    <row r="20" ht="22" customHeight="1">
      <c r="A20" s="14" t="inlineStr">
        <is>
          <t>Year</t>
        </is>
      </c>
      <c r="B20" s="14" t="inlineStr">
        <is>
          <t>Balance (0% fee)</t>
        </is>
      </c>
      <c r="C20" s="14" t="inlineStr">
        <is>
          <t>Contributions</t>
        </is>
      </c>
      <c r="D20" s="14" t="inlineStr">
        <is>
          <t>Growth</t>
        </is>
      </c>
      <c r="E20" s="14" t="inlineStr">
        <is>
          <t>Balance at 1% drag</t>
        </is>
      </c>
      <c r="F20" s="14" t="inlineStr">
        <is>
          <t>Fee drag (cost)</t>
        </is>
      </c>
    </row>
    <row r="21">
      <c r="A21" s="15" t="n">
        <v>1</v>
      </c>
      <c r="B21" s="16">
        <f>IF($B$7/12=0,$B$5+$B$6*1*12,$B$5*POWER(1+$B$7/12,1*12)+$B$6*((POWER(1+$B$7/12,1*12)-1)/($B$7/12)))</f>
        <v/>
      </c>
      <c r="C21" s="17">
        <f>$B$5+$B$6*1*12</f>
        <v/>
      </c>
      <c r="D21" s="16">
        <f>B21-C21</f>
        <v/>
      </c>
      <c r="E21" s="17">
        <f>IF($B$10=0,$B$5+$B$6*1*12,$B$5*POWER(1+$B$10,1*12)+$B$6*((POWER(1+$B$10,1*12)-1)/$B$10))</f>
        <v/>
      </c>
      <c r="F21" s="18">
        <f>B21-E21</f>
        <v/>
      </c>
    </row>
    <row r="22">
      <c r="A22" s="19" t="n">
        <v>2</v>
      </c>
      <c r="B22" s="20">
        <f>IF($B$7/12=0,$B$5+$B$6*2*12,$B$5*POWER(1+$B$7/12,2*12)+$B$6*((POWER(1+$B$7/12,2*12)-1)/($B$7/12)))</f>
        <v/>
      </c>
      <c r="C22" s="21">
        <f>$B$5+$B$6*2*12</f>
        <v/>
      </c>
      <c r="D22" s="20">
        <f>B22-C22</f>
        <v/>
      </c>
      <c r="E22" s="21">
        <f>IF($B$10=0,$B$5+$B$6*2*12,$B$5*POWER(1+$B$10,2*12)+$B$6*((POWER(1+$B$10,2*12)-1)/$B$10))</f>
        <v/>
      </c>
      <c r="F22" s="22">
        <f>B22-E22</f>
        <v/>
      </c>
    </row>
    <row r="23">
      <c r="A23" s="15" t="n">
        <v>3</v>
      </c>
      <c r="B23" s="16">
        <f>IF($B$7/12=0,$B$5+$B$6*3*12,$B$5*POWER(1+$B$7/12,3*12)+$B$6*((POWER(1+$B$7/12,3*12)-1)/($B$7/12)))</f>
        <v/>
      </c>
      <c r="C23" s="17">
        <f>$B$5+$B$6*3*12</f>
        <v/>
      </c>
      <c r="D23" s="16">
        <f>B23-C23</f>
        <v/>
      </c>
      <c r="E23" s="17">
        <f>IF($B$10=0,$B$5+$B$6*3*12,$B$5*POWER(1+$B$10,3*12)+$B$6*((POWER(1+$B$10,3*12)-1)/$B$10))</f>
        <v/>
      </c>
      <c r="F23" s="18">
        <f>B23-E23</f>
        <v/>
      </c>
    </row>
    <row r="24">
      <c r="A24" s="19" t="n">
        <v>4</v>
      </c>
      <c r="B24" s="20">
        <f>IF($B$7/12=0,$B$5+$B$6*4*12,$B$5*POWER(1+$B$7/12,4*12)+$B$6*((POWER(1+$B$7/12,4*12)-1)/($B$7/12)))</f>
        <v/>
      </c>
      <c r="C24" s="21">
        <f>$B$5+$B$6*4*12</f>
        <v/>
      </c>
      <c r="D24" s="20">
        <f>B24-C24</f>
        <v/>
      </c>
      <c r="E24" s="21">
        <f>IF($B$10=0,$B$5+$B$6*4*12,$B$5*POWER(1+$B$10,4*12)+$B$6*((POWER(1+$B$10,4*12)-1)/$B$10))</f>
        <v/>
      </c>
      <c r="F24" s="22">
        <f>B24-E24</f>
        <v/>
      </c>
    </row>
    <row r="25">
      <c r="A25" s="15" t="n">
        <v>5</v>
      </c>
      <c r="B25" s="16">
        <f>IF($B$7/12=0,$B$5+$B$6*5*12,$B$5*POWER(1+$B$7/12,5*12)+$B$6*((POWER(1+$B$7/12,5*12)-1)/($B$7/12)))</f>
        <v/>
      </c>
      <c r="C25" s="17">
        <f>$B$5+$B$6*5*12</f>
        <v/>
      </c>
      <c r="D25" s="16">
        <f>B25-C25</f>
        <v/>
      </c>
      <c r="E25" s="17">
        <f>IF($B$10=0,$B$5+$B$6*5*12,$B$5*POWER(1+$B$10,5*12)+$B$6*((POWER(1+$B$10,5*12)-1)/$B$10))</f>
        <v/>
      </c>
      <c r="F25" s="18">
        <f>B25-E25</f>
        <v/>
      </c>
    </row>
    <row r="26">
      <c r="A26" s="19" t="n">
        <v>6</v>
      </c>
      <c r="B26" s="20">
        <f>IF($B$7/12=0,$B$5+$B$6*6*12,$B$5*POWER(1+$B$7/12,6*12)+$B$6*((POWER(1+$B$7/12,6*12)-1)/($B$7/12)))</f>
        <v/>
      </c>
      <c r="C26" s="21">
        <f>$B$5+$B$6*6*12</f>
        <v/>
      </c>
      <c r="D26" s="20">
        <f>B26-C26</f>
        <v/>
      </c>
      <c r="E26" s="21">
        <f>IF($B$10=0,$B$5+$B$6*6*12,$B$5*POWER(1+$B$10,6*12)+$B$6*((POWER(1+$B$10,6*12)-1)/$B$10))</f>
        <v/>
      </c>
      <c r="F26" s="22">
        <f>B26-E26</f>
        <v/>
      </c>
    </row>
    <row r="27">
      <c r="A27" s="15" t="n">
        <v>7</v>
      </c>
      <c r="B27" s="16">
        <f>IF($B$7/12=0,$B$5+$B$6*7*12,$B$5*POWER(1+$B$7/12,7*12)+$B$6*((POWER(1+$B$7/12,7*12)-1)/($B$7/12)))</f>
        <v/>
      </c>
      <c r="C27" s="17">
        <f>$B$5+$B$6*7*12</f>
        <v/>
      </c>
      <c r="D27" s="16">
        <f>B27-C27</f>
        <v/>
      </c>
      <c r="E27" s="17">
        <f>IF($B$10=0,$B$5+$B$6*7*12,$B$5*POWER(1+$B$10,7*12)+$B$6*((POWER(1+$B$10,7*12)-1)/$B$10))</f>
        <v/>
      </c>
      <c r="F27" s="18">
        <f>B27-E27</f>
        <v/>
      </c>
    </row>
    <row r="28">
      <c r="A28" s="19" t="n">
        <v>8</v>
      </c>
      <c r="B28" s="20">
        <f>IF($B$7/12=0,$B$5+$B$6*8*12,$B$5*POWER(1+$B$7/12,8*12)+$B$6*((POWER(1+$B$7/12,8*12)-1)/($B$7/12)))</f>
        <v/>
      </c>
      <c r="C28" s="21">
        <f>$B$5+$B$6*8*12</f>
        <v/>
      </c>
      <c r="D28" s="20">
        <f>B28-C28</f>
        <v/>
      </c>
      <c r="E28" s="21">
        <f>IF($B$10=0,$B$5+$B$6*8*12,$B$5*POWER(1+$B$10,8*12)+$B$6*((POWER(1+$B$10,8*12)-1)/$B$10))</f>
        <v/>
      </c>
      <c r="F28" s="22">
        <f>B28-E28</f>
        <v/>
      </c>
    </row>
    <row r="29">
      <c r="A29" s="15" t="n">
        <v>9</v>
      </c>
      <c r="B29" s="16">
        <f>IF($B$7/12=0,$B$5+$B$6*9*12,$B$5*POWER(1+$B$7/12,9*12)+$B$6*((POWER(1+$B$7/12,9*12)-1)/($B$7/12)))</f>
        <v/>
      </c>
      <c r="C29" s="17">
        <f>$B$5+$B$6*9*12</f>
        <v/>
      </c>
      <c r="D29" s="16">
        <f>B29-C29</f>
        <v/>
      </c>
      <c r="E29" s="17">
        <f>IF($B$10=0,$B$5+$B$6*9*12,$B$5*POWER(1+$B$10,9*12)+$B$6*((POWER(1+$B$10,9*12)-1)/$B$10))</f>
        <v/>
      </c>
      <c r="F29" s="18">
        <f>B29-E29</f>
        <v/>
      </c>
    </row>
    <row r="30">
      <c r="A30" s="19" t="n">
        <v>10</v>
      </c>
      <c r="B30" s="20">
        <f>IF($B$7/12=0,$B$5+$B$6*10*12,$B$5*POWER(1+$B$7/12,10*12)+$B$6*((POWER(1+$B$7/12,10*12)-1)/($B$7/12)))</f>
        <v/>
      </c>
      <c r="C30" s="21">
        <f>$B$5+$B$6*10*12</f>
        <v/>
      </c>
      <c r="D30" s="20">
        <f>B30-C30</f>
        <v/>
      </c>
      <c r="E30" s="21">
        <f>IF($B$10=0,$B$5+$B$6*10*12,$B$5*POWER(1+$B$10,10*12)+$B$6*((POWER(1+$B$10,10*12)-1)/$B$10))</f>
        <v/>
      </c>
      <c r="F30" s="22">
        <f>B30-E30</f>
        <v/>
      </c>
    </row>
    <row r="31">
      <c r="A31" s="15" t="n">
        <v>11</v>
      </c>
      <c r="B31" s="16">
        <f>IF($B$7/12=0,$B$5+$B$6*11*12,$B$5*POWER(1+$B$7/12,11*12)+$B$6*((POWER(1+$B$7/12,11*12)-1)/($B$7/12)))</f>
        <v/>
      </c>
      <c r="C31" s="17">
        <f>$B$5+$B$6*11*12</f>
        <v/>
      </c>
      <c r="D31" s="16">
        <f>B31-C31</f>
        <v/>
      </c>
      <c r="E31" s="17">
        <f>IF($B$10=0,$B$5+$B$6*11*12,$B$5*POWER(1+$B$10,11*12)+$B$6*((POWER(1+$B$10,11*12)-1)/$B$10))</f>
        <v/>
      </c>
      <c r="F31" s="18">
        <f>B31-E31</f>
        <v/>
      </c>
    </row>
    <row r="32">
      <c r="A32" s="19" t="n">
        <v>12</v>
      </c>
      <c r="B32" s="20">
        <f>IF($B$7/12=0,$B$5+$B$6*12*12,$B$5*POWER(1+$B$7/12,12*12)+$B$6*((POWER(1+$B$7/12,12*12)-1)/($B$7/12)))</f>
        <v/>
      </c>
      <c r="C32" s="21">
        <f>$B$5+$B$6*12*12</f>
        <v/>
      </c>
      <c r="D32" s="20">
        <f>B32-C32</f>
        <v/>
      </c>
      <c r="E32" s="21">
        <f>IF($B$10=0,$B$5+$B$6*12*12,$B$5*POWER(1+$B$10,12*12)+$B$6*((POWER(1+$B$10,12*12)-1)/$B$10))</f>
        <v/>
      </c>
      <c r="F32" s="22">
        <f>B32-E32</f>
        <v/>
      </c>
    </row>
    <row r="33">
      <c r="A33" s="15" t="n">
        <v>13</v>
      </c>
      <c r="B33" s="16">
        <f>IF($B$7/12=0,$B$5+$B$6*13*12,$B$5*POWER(1+$B$7/12,13*12)+$B$6*((POWER(1+$B$7/12,13*12)-1)/($B$7/12)))</f>
        <v/>
      </c>
      <c r="C33" s="17">
        <f>$B$5+$B$6*13*12</f>
        <v/>
      </c>
      <c r="D33" s="16">
        <f>B33-C33</f>
        <v/>
      </c>
      <c r="E33" s="17">
        <f>IF($B$10=0,$B$5+$B$6*13*12,$B$5*POWER(1+$B$10,13*12)+$B$6*((POWER(1+$B$10,13*12)-1)/$B$10))</f>
        <v/>
      </c>
      <c r="F33" s="18">
        <f>B33-E33</f>
        <v/>
      </c>
    </row>
    <row r="34">
      <c r="A34" s="19" t="n">
        <v>14</v>
      </c>
      <c r="B34" s="20">
        <f>IF($B$7/12=0,$B$5+$B$6*14*12,$B$5*POWER(1+$B$7/12,14*12)+$B$6*((POWER(1+$B$7/12,14*12)-1)/($B$7/12)))</f>
        <v/>
      </c>
      <c r="C34" s="21">
        <f>$B$5+$B$6*14*12</f>
        <v/>
      </c>
      <c r="D34" s="20">
        <f>B34-C34</f>
        <v/>
      </c>
      <c r="E34" s="21">
        <f>IF($B$10=0,$B$5+$B$6*14*12,$B$5*POWER(1+$B$10,14*12)+$B$6*((POWER(1+$B$10,14*12)-1)/$B$10))</f>
        <v/>
      </c>
      <c r="F34" s="22">
        <f>B34-E34</f>
        <v/>
      </c>
    </row>
    <row r="35">
      <c r="A35" s="15" t="n">
        <v>15</v>
      </c>
      <c r="B35" s="16">
        <f>IF($B$7/12=0,$B$5+$B$6*15*12,$B$5*POWER(1+$B$7/12,15*12)+$B$6*((POWER(1+$B$7/12,15*12)-1)/($B$7/12)))</f>
        <v/>
      </c>
      <c r="C35" s="17">
        <f>$B$5+$B$6*15*12</f>
        <v/>
      </c>
      <c r="D35" s="16">
        <f>B35-C35</f>
        <v/>
      </c>
      <c r="E35" s="17">
        <f>IF($B$10=0,$B$5+$B$6*15*12,$B$5*POWER(1+$B$10,15*12)+$B$6*((POWER(1+$B$10,15*12)-1)/$B$10))</f>
        <v/>
      </c>
      <c r="F35" s="18">
        <f>B35-E35</f>
        <v/>
      </c>
    </row>
    <row r="36">
      <c r="A36" s="19" t="n">
        <v>16</v>
      </c>
      <c r="B36" s="20">
        <f>IF($B$7/12=0,$B$5+$B$6*16*12,$B$5*POWER(1+$B$7/12,16*12)+$B$6*((POWER(1+$B$7/12,16*12)-1)/($B$7/12)))</f>
        <v/>
      </c>
      <c r="C36" s="21">
        <f>$B$5+$B$6*16*12</f>
        <v/>
      </c>
      <c r="D36" s="20">
        <f>B36-C36</f>
        <v/>
      </c>
      <c r="E36" s="21">
        <f>IF($B$10=0,$B$5+$B$6*16*12,$B$5*POWER(1+$B$10,16*12)+$B$6*((POWER(1+$B$10,16*12)-1)/$B$10))</f>
        <v/>
      </c>
      <c r="F36" s="22">
        <f>B36-E36</f>
        <v/>
      </c>
    </row>
    <row r="37">
      <c r="A37" s="15" t="n">
        <v>17</v>
      </c>
      <c r="B37" s="16">
        <f>IF($B$7/12=0,$B$5+$B$6*17*12,$B$5*POWER(1+$B$7/12,17*12)+$B$6*((POWER(1+$B$7/12,17*12)-1)/($B$7/12)))</f>
        <v/>
      </c>
      <c r="C37" s="17">
        <f>$B$5+$B$6*17*12</f>
        <v/>
      </c>
      <c r="D37" s="16">
        <f>B37-C37</f>
        <v/>
      </c>
      <c r="E37" s="17">
        <f>IF($B$10=0,$B$5+$B$6*17*12,$B$5*POWER(1+$B$10,17*12)+$B$6*((POWER(1+$B$10,17*12)-1)/$B$10))</f>
        <v/>
      </c>
      <c r="F37" s="18">
        <f>B37-E37</f>
        <v/>
      </c>
    </row>
    <row r="38">
      <c r="A38" s="19" t="n">
        <v>18</v>
      </c>
      <c r="B38" s="20">
        <f>IF($B$7/12=0,$B$5+$B$6*18*12,$B$5*POWER(1+$B$7/12,18*12)+$B$6*((POWER(1+$B$7/12,18*12)-1)/($B$7/12)))</f>
        <v/>
      </c>
      <c r="C38" s="21">
        <f>$B$5+$B$6*18*12</f>
        <v/>
      </c>
      <c r="D38" s="20">
        <f>B38-C38</f>
        <v/>
      </c>
      <c r="E38" s="21">
        <f>IF($B$10=0,$B$5+$B$6*18*12,$B$5*POWER(1+$B$10,18*12)+$B$6*((POWER(1+$B$10,18*12)-1)/$B$10))</f>
        <v/>
      </c>
      <c r="F38" s="22">
        <f>B38-E38</f>
        <v/>
      </c>
    </row>
    <row r="39">
      <c r="A39" s="15" t="n">
        <v>19</v>
      </c>
      <c r="B39" s="16">
        <f>IF($B$7/12=0,$B$5+$B$6*19*12,$B$5*POWER(1+$B$7/12,19*12)+$B$6*((POWER(1+$B$7/12,19*12)-1)/($B$7/12)))</f>
        <v/>
      </c>
      <c r="C39" s="17">
        <f>$B$5+$B$6*19*12</f>
        <v/>
      </c>
      <c r="D39" s="16">
        <f>B39-C39</f>
        <v/>
      </c>
      <c r="E39" s="17">
        <f>IF($B$10=0,$B$5+$B$6*19*12,$B$5*POWER(1+$B$10,19*12)+$B$6*((POWER(1+$B$10,19*12)-1)/$B$10))</f>
        <v/>
      </c>
      <c r="F39" s="18">
        <f>B39-E39</f>
        <v/>
      </c>
    </row>
    <row r="40">
      <c r="A40" s="19" t="n">
        <v>20</v>
      </c>
      <c r="B40" s="20">
        <f>IF($B$7/12=0,$B$5+$B$6*20*12,$B$5*POWER(1+$B$7/12,20*12)+$B$6*((POWER(1+$B$7/12,20*12)-1)/($B$7/12)))</f>
        <v/>
      </c>
      <c r="C40" s="21">
        <f>$B$5+$B$6*20*12</f>
        <v/>
      </c>
      <c r="D40" s="20">
        <f>B40-C40</f>
        <v/>
      </c>
      <c r="E40" s="21">
        <f>IF($B$10=0,$B$5+$B$6*20*12,$B$5*POWER(1+$B$10,20*12)+$B$6*((POWER(1+$B$10,20*12)-1)/$B$10))</f>
        <v/>
      </c>
      <c r="F40" s="22">
        <f>B40-E40</f>
        <v/>
      </c>
    </row>
    <row r="41">
      <c r="A41" s="15" t="n">
        <v>21</v>
      </c>
      <c r="B41" s="16">
        <f>IF($B$7/12=0,$B$5+$B$6*21*12,$B$5*POWER(1+$B$7/12,21*12)+$B$6*((POWER(1+$B$7/12,21*12)-1)/($B$7/12)))</f>
        <v/>
      </c>
      <c r="C41" s="17">
        <f>$B$5+$B$6*21*12</f>
        <v/>
      </c>
      <c r="D41" s="16">
        <f>B41-C41</f>
        <v/>
      </c>
      <c r="E41" s="17">
        <f>IF($B$10=0,$B$5+$B$6*21*12,$B$5*POWER(1+$B$10,21*12)+$B$6*((POWER(1+$B$10,21*12)-1)/$B$10))</f>
        <v/>
      </c>
      <c r="F41" s="18">
        <f>B41-E41</f>
        <v/>
      </c>
    </row>
    <row r="42">
      <c r="A42" s="19" t="n">
        <v>22</v>
      </c>
      <c r="B42" s="20">
        <f>IF($B$7/12=0,$B$5+$B$6*22*12,$B$5*POWER(1+$B$7/12,22*12)+$B$6*((POWER(1+$B$7/12,22*12)-1)/($B$7/12)))</f>
        <v/>
      </c>
      <c r="C42" s="21">
        <f>$B$5+$B$6*22*12</f>
        <v/>
      </c>
      <c r="D42" s="20">
        <f>B42-C42</f>
        <v/>
      </c>
      <c r="E42" s="21">
        <f>IF($B$10=0,$B$5+$B$6*22*12,$B$5*POWER(1+$B$10,22*12)+$B$6*((POWER(1+$B$10,22*12)-1)/$B$10))</f>
        <v/>
      </c>
      <c r="F42" s="22">
        <f>B42-E42</f>
        <v/>
      </c>
    </row>
    <row r="43">
      <c r="A43" s="15" t="n">
        <v>23</v>
      </c>
      <c r="B43" s="16">
        <f>IF($B$7/12=0,$B$5+$B$6*23*12,$B$5*POWER(1+$B$7/12,23*12)+$B$6*((POWER(1+$B$7/12,23*12)-1)/($B$7/12)))</f>
        <v/>
      </c>
      <c r="C43" s="17">
        <f>$B$5+$B$6*23*12</f>
        <v/>
      </c>
      <c r="D43" s="16">
        <f>B43-C43</f>
        <v/>
      </c>
      <c r="E43" s="17">
        <f>IF($B$10=0,$B$5+$B$6*23*12,$B$5*POWER(1+$B$10,23*12)+$B$6*((POWER(1+$B$10,23*12)-1)/$B$10))</f>
        <v/>
      </c>
      <c r="F43" s="18">
        <f>B43-E43</f>
        <v/>
      </c>
    </row>
    <row r="44">
      <c r="A44" s="19" t="n">
        <v>24</v>
      </c>
      <c r="B44" s="20">
        <f>IF($B$7/12=0,$B$5+$B$6*24*12,$B$5*POWER(1+$B$7/12,24*12)+$B$6*((POWER(1+$B$7/12,24*12)-1)/($B$7/12)))</f>
        <v/>
      </c>
      <c r="C44" s="21">
        <f>$B$5+$B$6*24*12</f>
        <v/>
      </c>
      <c r="D44" s="20">
        <f>B44-C44</f>
        <v/>
      </c>
      <c r="E44" s="21">
        <f>IF($B$10=0,$B$5+$B$6*24*12,$B$5*POWER(1+$B$10,24*12)+$B$6*((POWER(1+$B$10,24*12)-1)/$B$10))</f>
        <v/>
      </c>
      <c r="F44" s="22">
        <f>B44-E44</f>
        <v/>
      </c>
    </row>
    <row r="45">
      <c r="A45" s="15" t="n">
        <v>25</v>
      </c>
      <c r="B45" s="16">
        <f>IF($B$7/12=0,$B$5+$B$6*25*12,$B$5*POWER(1+$B$7/12,25*12)+$B$6*((POWER(1+$B$7/12,25*12)-1)/($B$7/12)))</f>
        <v/>
      </c>
      <c r="C45" s="17">
        <f>$B$5+$B$6*25*12</f>
        <v/>
      </c>
      <c r="D45" s="16">
        <f>B45-C45</f>
        <v/>
      </c>
      <c r="E45" s="17">
        <f>IF($B$10=0,$B$5+$B$6*25*12,$B$5*POWER(1+$B$10,25*12)+$B$6*((POWER(1+$B$10,25*12)-1)/$B$10))</f>
        <v/>
      </c>
      <c r="F45" s="18">
        <f>B45-E45</f>
        <v/>
      </c>
    </row>
    <row r="46">
      <c r="A46" s="19" t="n">
        <v>26</v>
      </c>
      <c r="B46" s="20">
        <f>IF($B$7/12=0,$B$5+$B$6*26*12,$B$5*POWER(1+$B$7/12,26*12)+$B$6*((POWER(1+$B$7/12,26*12)-1)/($B$7/12)))</f>
        <v/>
      </c>
      <c r="C46" s="21">
        <f>$B$5+$B$6*26*12</f>
        <v/>
      </c>
      <c r="D46" s="20">
        <f>B46-C46</f>
        <v/>
      </c>
      <c r="E46" s="21">
        <f>IF($B$10=0,$B$5+$B$6*26*12,$B$5*POWER(1+$B$10,26*12)+$B$6*((POWER(1+$B$10,26*12)-1)/$B$10))</f>
        <v/>
      </c>
      <c r="F46" s="22">
        <f>B46-E46</f>
        <v/>
      </c>
    </row>
    <row r="47">
      <c r="A47" s="15" t="n">
        <v>27</v>
      </c>
      <c r="B47" s="16">
        <f>IF($B$7/12=0,$B$5+$B$6*27*12,$B$5*POWER(1+$B$7/12,27*12)+$B$6*((POWER(1+$B$7/12,27*12)-1)/($B$7/12)))</f>
        <v/>
      </c>
      <c r="C47" s="17">
        <f>$B$5+$B$6*27*12</f>
        <v/>
      </c>
      <c r="D47" s="16">
        <f>B47-C47</f>
        <v/>
      </c>
      <c r="E47" s="17">
        <f>IF($B$10=0,$B$5+$B$6*27*12,$B$5*POWER(1+$B$10,27*12)+$B$6*((POWER(1+$B$10,27*12)-1)/$B$10))</f>
        <v/>
      </c>
      <c r="F47" s="18">
        <f>B47-E47</f>
        <v/>
      </c>
    </row>
    <row r="48">
      <c r="A48" s="19" t="n">
        <v>28</v>
      </c>
      <c r="B48" s="20">
        <f>IF($B$7/12=0,$B$5+$B$6*28*12,$B$5*POWER(1+$B$7/12,28*12)+$B$6*((POWER(1+$B$7/12,28*12)-1)/($B$7/12)))</f>
        <v/>
      </c>
      <c r="C48" s="21">
        <f>$B$5+$B$6*28*12</f>
        <v/>
      </c>
      <c r="D48" s="20">
        <f>B48-C48</f>
        <v/>
      </c>
      <c r="E48" s="21">
        <f>IF($B$10=0,$B$5+$B$6*28*12,$B$5*POWER(1+$B$10,28*12)+$B$6*((POWER(1+$B$10,28*12)-1)/$B$10))</f>
        <v/>
      </c>
      <c r="F48" s="22">
        <f>B48-E48</f>
        <v/>
      </c>
    </row>
    <row r="49">
      <c r="A49" s="15" t="n">
        <v>29</v>
      </c>
      <c r="B49" s="16">
        <f>IF($B$7/12=0,$B$5+$B$6*29*12,$B$5*POWER(1+$B$7/12,29*12)+$B$6*((POWER(1+$B$7/12,29*12)-1)/($B$7/12)))</f>
        <v/>
      </c>
      <c r="C49" s="17">
        <f>$B$5+$B$6*29*12</f>
        <v/>
      </c>
      <c r="D49" s="16">
        <f>B49-C49</f>
        <v/>
      </c>
      <c r="E49" s="17">
        <f>IF($B$10=0,$B$5+$B$6*29*12,$B$5*POWER(1+$B$10,29*12)+$B$6*((POWER(1+$B$10,29*12)-1)/$B$10))</f>
        <v/>
      </c>
      <c r="F49" s="18">
        <f>B49-E49</f>
        <v/>
      </c>
    </row>
    <row r="50">
      <c r="A50" s="19" t="n">
        <v>30</v>
      </c>
      <c r="B50" s="20">
        <f>IF($B$7/12=0,$B$5+$B$6*30*12,$B$5*POWER(1+$B$7/12,30*12)+$B$6*((POWER(1+$B$7/12,30*12)-1)/($B$7/12)))</f>
        <v/>
      </c>
      <c r="C50" s="21">
        <f>$B$5+$B$6*30*12</f>
        <v/>
      </c>
      <c r="D50" s="20">
        <f>B50-C50</f>
        <v/>
      </c>
      <c r="E50" s="21">
        <f>IF($B$10=0,$B$5+$B$6*30*12,$B$5*POWER(1+$B$10,30*12)+$B$6*((POWER(1+$B$10,30*12)-1)/$B$10))</f>
        <v/>
      </c>
      <c r="F50" s="22">
        <f>B50-E50</f>
        <v/>
      </c>
    </row>
    <row r="52" ht="13" customHeight="1">
      <c r="A52" s="23" t="inlineStr">
        <is>
          <t>Formulas: i = (r − fee)/12, n = y×12, FV = P(1+i)^n + PMT((1+i)^n−1)/i  (end-of-month contributions).</t>
        </is>
      </c>
    </row>
    <row r="53" ht="13" customHeight="1">
      <c r="A53" s="23" t="inlineStr">
        <is>
          <t>Defaults preview: P=1,000 + PMT=100/mo at 7% → Year 1 $2,312 · Year 5 $8,577 · Year 10 $19,318 · Year 20 $56,131 · Year 30 $130,114 (fee drag at 1% costs $23,640).</t>
        </is>
      </c>
    </row>
    <row r="54" ht="13" customHeight="1">
      <c r="A54" s="23" t="inlineStr">
        <is>
          <t>Hypothetical, constant return — real markets vary. Past performance ≠ future results. Education, not advice. See compoundlane.com/methodology.</t>
        </is>
      </c>
    </row>
    <row r="55" ht="13" customHeight="1">
      <c r="A55" s="23" t="inlineStr">
        <is>
          <t>Try it live: compoundlane.com/compound-interest  ·  Fee drag: compoundlane.com/fee-drag</t>
        </is>
      </c>
    </row>
  </sheetData>
  <mergeCells count="8">
    <mergeCell ref="A2:F2"/>
    <mergeCell ref="A54:F54"/>
    <mergeCell ref="A52:F52"/>
    <mergeCell ref="A13:F13"/>
    <mergeCell ref="A1:F1"/>
    <mergeCell ref="A4:F4"/>
    <mergeCell ref="A53:F53"/>
    <mergeCell ref="A55:F55"/>
  </mergeCells>
  <printOptions horizontalCentered="1"/>
  <pageMargins left="0.75" right="0.75" top="1" bottom="1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2026-08-20T18:10:04Z</dcterms:created>
  <dcterms:modified xsi:type="dcterms:W3CDTF">2026-08-20T18:10:04Z</dcterms:modified>
</cp:coreProperties>
</file>